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aimi.sharepoint.com/sites/PIRELYIlmastotiekartta-sisinen/Jaetut asiakirjat/Tiekarttatyön työtila/Tulokset ja loppuraportti/Lopulliset materiaalit/"/>
    </mc:Choice>
  </mc:AlternateContent>
  <xr:revisionPtr revIDLastSave="1" documentId="8_{BACB4EF3-5919-43FC-B359-230988B56A48}" xr6:coauthVersionLast="46" xr6:coauthVersionMax="46" xr10:uidLastSave="{A5C88FC5-9E39-4742-A08A-8E338712E6FB}"/>
  <bookViews>
    <workbookView xWindow="-108" yWindow="-108" windowWidth="23256" windowHeight="12576" xr2:uid="{46D0D182-5E48-40A8-BBDD-90BAD796138D}"/>
  </bookViews>
  <sheets>
    <sheet name="Etusivu" sheetId="6" r:id="rId1"/>
    <sheet name="Liikenne+biokaasu" sheetId="1" r:id="rId2"/>
    <sheet name="Maatalous, metsät, suot jne" sheetId="2" r:id="rId3"/>
    <sheet name="YVA &amp; PIMA" sheetId="5" r:id="rId4"/>
    <sheet name="Yhdyskuntarakenne" sheetId="3" r:id="rId5"/>
    <sheet name="Kiertotalous + tehokkuusasiat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2" l="1"/>
  <c r="C33" i="2"/>
  <c r="D30" i="2"/>
  <c r="C30" i="2"/>
  <c r="B30" i="2"/>
  <c r="C5" i="6" l="1"/>
  <c r="B5" i="6"/>
  <c r="D19" i="4" l="1"/>
  <c r="C19" i="4"/>
  <c r="J11" i="3" l="1"/>
  <c r="I11" i="3"/>
  <c r="I10" i="3"/>
  <c r="J10" i="3"/>
  <c r="H10" i="3"/>
  <c r="J8" i="3"/>
  <c r="I8" i="3"/>
  <c r="H8" i="3"/>
  <c r="J7" i="3"/>
  <c r="I7" i="3"/>
  <c r="C18" i="3"/>
  <c r="D16" i="3"/>
  <c r="C16" i="3"/>
  <c r="A16" i="3"/>
  <c r="D15" i="3"/>
  <c r="C15" i="3"/>
  <c r="A15" i="3"/>
  <c r="D14" i="3"/>
  <c r="C14" i="3"/>
  <c r="A14" i="3"/>
  <c r="A13" i="3"/>
  <c r="D10" i="3"/>
  <c r="C10" i="3"/>
  <c r="B10" i="3"/>
  <c r="D18" i="3" s="1"/>
  <c r="D32" i="2"/>
  <c r="C32" i="2"/>
  <c r="C18" i="2"/>
  <c r="D18" i="2"/>
  <c r="E18" i="2"/>
  <c r="B18" i="2"/>
  <c r="B28" i="1"/>
  <c r="D27" i="1"/>
  <c r="C27" i="1"/>
  <c r="D19" i="1"/>
  <c r="D20" i="1" s="1"/>
  <c r="E19" i="1"/>
  <c r="E20" i="1" s="1"/>
  <c r="F19" i="1"/>
  <c r="F20" i="1" s="1"/>
  <c r="C19" i="1"/>
  <c r="C20" i="1" s="1"/>
  <c r="F12" i="1"/>
  <c r="K5" i="1"/>
  <c r="K6" i="1"/>
  <c r="K7" i="1"/>
  <c r="K8" i="1"/>
  <c r="K9" i="1"/>
  <c r="K10" i="1"/>
  <c r="K11" i="1"/>
  <c r="K4" i="1"/>
  <c r="J5" i="1"/>
  <c r="J6" i="1"/>
  <c r="J7" i="1"/>
  <c r="J8" i="1"/>
  <c r="J9" i="1"/>
  <c r="J10" i="1"/>
  <c r="J11" i="1"/>
  <c r="J4" i="1"/>
  <c r="J14" i="1" l="1"/>
  <c r="J13" i="1"/>
</calcChain>
</file>

<file path=xl/sharedStrings.xml><?xml version="1.0" encoding="utf-8"?>
<sst xmlns="http://schemas.openxmlformats.org/spreadsheetml/2006/main" count="254" uniqueCount="220">
  <si>
    <t/>
  </si>
  <si>
    <t>vuosi</t>
  </si>
  <si>
    <t>energiankulutus (GWh)</t>
  </si>
  <si>
    <t>ajosuorite (Mkm)</t>
  </si>
  <si>
    <t>Kadut Henkiloautot</t>
  </si>
  <si>
    <t>2018</t>
  </si>
  <si>
    <t>Kadut Pakettiautot</t>
  </si>
  <si>
    <t>Kadut Linja-autot</t>
  </si>
  <si>
    <t>Kadut Kuorma-autot</t>
  </si>
  <si>
    <t>Tiet Henkiloautot</t>
  </si>
  <si>
    <t>Tiet Pakettiautot</t>
  </si>
  <si>
    <t>Tiet Linja-autot</t>
  </si>
  <si>
    <t>Tiet Kuorma-autot</t>
  </si>
  <si>
    <t>energiankulutus (TJ)</t>
  </si>
  <si>
    <t>Päästöt (kt CO2e)</t>
  </si>
  <si>
    <t>kg CO2e/MJ</t>
  </si>
  <si>
    <t>keskiarvo</t>
  </si>
  <si>
    <t>keskihajonta</t>
  </si>
  <si>
    <t>Kestävä liikkuminen</t>
  </si>
  <si>
    <t>Tieliikenteen päästöt, energiankulutus ja päästöt</t>
  </si>
  <si>
    <t>kg CO2e/km</t>
  </si>
  <si>
    <r>
      <t xml:space="preserve">Jos muiden liikennemuotojen osuutta saa kasvatetuksi niin että </t>
    </r>
    <r>
      <rPr>
        <b/>
        <i/>
        <sz val="11"/>
        <color theme="1"/>
        <rFont val="Calibri"/>
        <family val="2"/>
        <scheme val="minor"/>
      </rPr>
      <t>henkilöautoilu kaupungissa</t>
    </r>
    <r>
      <rPr>
        <b/>
        <sz val="11"/>
        <color theme="1"/>
        <rFont val="Calibri"/>
        <family val="2"/>
        <scheme val="minor"/>
      </rPr>
      <t xml:space="preserve"> vähenee</t>
    </r>
  </si>
  <si>
    <t>päästövähennys (kt)</t>
  </si>
  <si>
    <t>ajosuoritteen vähenemä (Mkm)</t>
  </si>
  <si>
    <t>Tässä ei ole huomioitu, että sivuvaikutuksena myös maantieautoilu vähenisi, joskin todennäköisesti vähemmän</t>
  </si>
  <si>
    <t>Biokaasu</t>
  </si>
  <si>
    <t xml:space="preserve">Liikennekäyttöön </t>
  </si>
  <si>
    <t>TJ</t>
  </si>
  <si>
    <t>TWh</t>
  </si>
  <si>
    <t>Käyttö maataloudessa</t>
  </si>
  <si>
    <t>(Maatalouden ilmastotiekartta)</t>
  </si>
  <si>
    <t>(Arvio biokaasun määrästä Fossiilittoman liikenteen tiekartasta)</t>
  </si>
  <si>
    <t>LÄHDE</t>
  </si>
  <si>
    <t>Päästövähennys (kt CO2e)</t>
  </si>
  <si>
    <t>Metsitys</t>
  </si>
  <si>
    <t>Turvemaapeltojen hoito</t>
  </si>
  <si>
    <t>Kivennäismaapeltojen hoito</t>
  </si>
  <si>
    <t>Metsäkadon välttäminen</t>
  </si>
  <si>
    <t>Metsien tuhkalannoitus</t>
  </si>
  <si>
    <t>Metsien typpilannoitus</t>
  </si>
  <si>
    <t>Taimikonhoito</t>
  </si>
  <si>
    <t>Metsien kangasmaaperän hoito+</t>
  </si>
  <si>
    <t>Turvemaametsien maaperän hoito</t>
  </si>
  <si>
    <t>Suojelualueiden lisääminen</t>
  </si>
  <si>
    <t>Puutuoteportfolion muuttaminen*</t>
  </si>
  <si>
    <t>-</t>
  </si>
  <si>
    <t>Kosteikot</t>
  </si>
  <si>
    <t>Lahopuu*</t>
  </si>
  <si>
    <t>Yhteensä</t>
  </si>
  <si>
    <t>Päästövähennys (Mt CO2e)</t>
  </si>
  <si>
    <t>Min.</t>
  </si>
  <si>
    <t>Max.</t>
  </si>
  <si>
    <t>Vuosittainen pinta-ala (1000 ha)</t>
  </si>
  <si>
    <t>LÄHDE: LUKE - LUOBIO 7/2021</t>
  </si>
  <si>
    <t>WAM2</t>
  </si>
  <si>
    <t>Maataloussektorin khk-päästöt</t>
  </si>
  <si>
    <t>LULUCF-Turvemaat</t>
  </si>
  <si>
    <t>LULUCF-Kivennäismaaviljelysmaiden päästöt (CO2: 0,5 Mt v. 2017)</t>
  </si>
  <si>
    <t>Huonojen kivennäismaiden metsitys 60 000 ha 2020-2050</t>
  </si>
  <si>
    <t>Energiasektorilta</t>
  </si>
  <si>
    <t>YHTEENSÄ</t>
  </si>
  <si>
    <t>Alkutilanne 2018</t>
  </si>
  <si>
    <t>Tilanne 2035</t>
  </si>
  <si>
    <t>Tilanne 2050</t>
  </si>
  <si>
    <t>2035 ja 2050 khk-päästöt suhteessa alkutilanteeseen (2018)</t>
  </si>
  <si>
    <t>LÄHDE: MTK : Maatalouden ilmastotiekartta</t>
  </si>
  <si>
    <t>Mt CO2e</t>
  </si>
  <si>
    <t>Vähennys</t>
  </si>
  <si>
    <t>Tampereen tavoitteita ja nykytila</t>
  </si>
  <si>
    <t>https://www.tampere.fi/asuminen-ja-ymparisto/kaavoitus/yleiskaavoitus/hankkeet/yhdyskuntarakenteen-ilmastovaikutusten-arviointi.html</t>
  </si>
  <si>
    <t>KAIKKI LUVUT kt CO2e</t>
  </si>
  <si>
    <t>Rakentaminen</t>
  </si>
  <si>
    <t>Sähkönkulutus</t>
  </si>
  <si>
    <t>Lämmistys ja jäähdytys</t>
  </si>
  <si>
    <t>Liikenne</t>
  </si>
  <si>
    <t>yht.</t>
  </si>
  <si>
    <t>Muutos %</t>
  </si>
  <si>
    <t>Sähkö ja lämpö</t>
  </si>
  <si>
    <t>Liikenne (kaduilla)</t>
  </si>
  <si>
    <t>Suomen-laajuinen yleistys (kt CO2e)</t>
  </si>
  <si>
    <t>yht. (ilman rakentamista)</t>
  </si>
  <si>
    <t>vähennys</t>
  </si>
  <si>
    <t xml:space="preserve"> </t>
  </si>
  <si>
    <t>YVA</t>
  </si>
  <si>
    <t>t CO2e/a min</t>
  </si>
  <si>
    <t>t CO2e/a max</t>
  </si>
  <si>
    <t>t CO2e/a VE0</t>
  </si>
  <si>
    <t>VE0-min</t>
  </si>
  <si>
    <t>VE0-max</t>
  </si>
  <si>
    <t>Case kierrätyspuisto</t>
  </si>
  <si>
    <t>Positiivinen luku tarkoittaa päästövähennystä ja negatiivinen lisäystä!</t>
  </si>
  <si>
    <t>Case tuulivoimapuisto</t>
  </si>
  <si>
    <t>Case louhos</t>
  </si>
  <si>
    <t>Case maantie</t>
  </si>
  <si>
    <t>Jätevoimala</t>
  </si>
  <si>
    <t>Täydennystä</t>
  </si>
  <si>
    <t>Case Raala</t>
  </si>
  <si>
    <t>Case Biokaasu</t>
  </si>
  <si>
    <t>Case Harjavalta</t>
  </si>
  <si>
    <t>Case Sköldvik</t>
  </si>
  <si>
    <t>Case Bioetanoli</t>
  </si>
  <si>
    <t>Case Munakori Kieku</t>
  </si>
  <si>
    <t>Case Makkara-aapa</t>
  </si>
  <si>
    <t>erotus</t>
  </si>
  <si>
    <t>Keskiarvo</t>
  </si>
  <si>
    <t>Extrapolaatio</t>
  </si>
  <si>
    <t>Ikkuna – ELY-keskusten ilmastotiekartta. Vaikuttavuuksien laskennasta.</t>
  </si>
  <si>
    <t>Kehittämiskohteen nimi</t>
  </si>
  <si>
    <t>Materiaalitehokkuus</t>
  </si>
  <si>
    <t>Biokaasun ja bioenergian edistäminen</t>
  </si>
  <si>
    <t>Kiertotalouden potentiaalin tunnistaminen ja mahdollistaminen</t>
  </si>
  <si>
    <t xml:space="preserve">Kiertotalouden ja materiaalien uusiokäytön ratkaisujen riskienhallinta </t>
  </si>
  <si>
    <t>Energia- ja resurssitehokkuuden edistäminen</t>
  </si>
  <si>
    <t>Energiajärjestelmän murros</t>
  </si>
  <si>
    <t>Soiden käyttö, suojelu, jälkikäyttö ja hiilivarastot</t>
  </si>
  <si>
    <t>Ravinnekiertojen hallinta - vesiensuojelu, maaperä ja hiiltä sitovat kasvit</t>
  </si>
  <si>
    <t xml:space="preserve">Ojitukset ja vesitalouden hallinta </t>
  </si>
  <si>
    <t>Ilmastotieto paikkatietoon</t>
  </si>
  <si>
    <t xml:space="preserve">Päästöratkaisujen tunnistaminen erityyppisissä aluerakenteissa </t>
  </si>
  <si>
    <t>Maankäytön ratkaisuissa syntyvien päästöjen minimointi ja nielujen maksimointi</t>
  </si>
  <si>
    <t>Ilmastokestävä yhdyskuntarakenne ja viranomaistehtävät</t>
  </si>
  <si>
    <t>Kaupunkiviherrakenne</t>
  </si>
  <si>
    <t>Vesihuollon turvaaminen ja energiatehokkuus</t>
  </si>
  <si>
    <t>Ilmastovaikutusten arviointi</t>
  </si>
  <si>
    <t>Ilmastonmuutos ympäristövalvonnassa</t>
  </si>
  <si>
    <t>Maamassat, PIMA ja riskienhallinta</t>
  </si>
  <si>
    <t xml:space="preserve">Luonnonsuojelun "ilmastonsuojeluohjelma" </t>
  </si>
  <si>
    <t>Meren, saariston ja rannikon ilmastokestävyys</t>
  </si>
  <si>
    <t xml:space="preserve">Ilmastokriteerit ja ilmastokestävyys rahoituksen arviointiin </t>
  </si>
  <si>
    <t>EU-osarahoitteisen kehittämisrahoituksen ilmastokriteerit</t>
  </si>
  <si>
    <t>Ilmastoteemat hankehakuihin</t>
  </si>
  <si>
    <t>Koulutusten kehittäminen ilmasto-osaamisen lisäämiseksi</t>
  </si>
  <si>
    <t>Ilmasto yritysten arvonlisäyksenä</t>
  </si>
  <si>
    <t xml:space="preserve">Viljelijöiden neuvonta ja ilmastomyönteinen maatalous </t>
  </si>
  <si>
    <t>Kestävämmän kulkumuotojakauman edistäminen</t>
  </si>
  <si>
    <t>Uudet käyttövoimat</t>
  </si>
  <si>
    <t>Tievihreä hiilinieluna ja sopeutumisessa</t>
  </si>
  <si>
    <t>Liikenteen rahoituksen kehittämisen mahdollisuudet</t>
  </si>
  <si>
    <t>Ilmastokriteerit hankkeissa ja urakoissa</t>
  </si>
  <si>
    <t>Resurssitehokkuuden ja digitalisaation edistäminen liikenteenhallinnassa, tiedonkeruussa ja suunnittelussa</t>
  </si>
  <si>
    <t>Kommentteja</t>
  </si>
  <si>
    <t>Kiertotalouden osa-alueita, joitten ilmastopotentiaalille on lukumääräinen arvio</t>
  </si>
  <si>
    <t>Betonin kierrätyksen lisääminen ja sementin korvaaminen</t>
  </si>
  <si>
    <t>Mt/a</t>
  </si>
  <si>
    <t>Muovin kierrätyksen lisääminen ja muovijätteen polton lopettaminen</t>
  </si>
  <si>
    <t>Ruokahävikin vähentäminen</t>
  </si>
  <si>
    <t>Pääasiallinen lähde:</t>
  </si>
  <si>
    <t>Kiertotalous vähähiilisyyden edistäjänä ja luonnon monimuotoisuuden turvaajana. Ympäristöministeriön julkaisuja 2021:6</t>
  </si>
  <si>
    <t>Energiatehokkuus</t>
  </si>
  <si>
    <t>Suomen energiankulutuksen vähennystavoite 2021–2030 [TWh]</t>
  </si>
  <si>
    <t>Min</t>
  </si>
  <si>
    <t>Max</t>
  </si>
  <si>
    <t>Energiantuotannon päästöt [kt CO2e / TWh]</t>
  </si>
  <si>
    <t>Energiantuotannon päästövähennyspotentiaali [kt CO2e]</t>
  </si>
  <si>
    <t>Huom! 14–22 Mt on kokonaisvähennyspotentiaali 10 vuoden aikana, jonka jakaminen per vuosi ei käy ihan suoraan.</t>
  </si>
  <si>
    <t>Lähteet:</t>
  </si>
  <si>
    <t>Tilastokeskus: Energia ja päästöt https://pxhopea2.stat.fi/sahkoiset_julkaisut/energia2020/html/suom0011.htm Viitattu 26.4.2021</t>
  </si>
  <si>
    <t>Energiatehokkuustyöryhmän raportti. Työ- ja elinkeinoministeriön julkaisuja • Energia • 2019:53</t>
  </si>
  <si>
    <t>Nämä muodostavat kaiken kaikkiaan vain pienen osan kaikesta kiertotalouden päästövähennyspotentiaalista. Voidaan hyvin olettaa, että kokonaispotentiaali on 10 Mt -kertaluokassa.</t>
  </si>
  <si>
    <t>Tärkeimmät lähteet</t>
  </si>
  <si>
    <r>
      <t xml:space="preserve">Välillisten vaikutusten potentiaali </t>
    </r>
    <r>
      <rPr>
        <b/>
        <sz val="10"/>
        <color theme="1"/>
        <rFont val="Calibri"/>
        <family val="2"/>
        <scheme val="minor"/>
      </rPr>
      <t>saattaa</t>
    </r>
    <r>
      <rPr>
        <sz val="10"/>
        <color theme="1"/>
        <rFont val="Calibri"/>
        <family val="2"/>
        <scheme val="minor"/>
      </rPr>
      <t xml:space="preserve"> nousta jopa merkittäväksi.  Suorat vaikutukset vähäisemmät</t>
    </r>
  </si>
  <si>
    <t>Vähäinen</t>
  </si>
  <si>
    <t>Fossiilittoman liikenteen tiekartta -työryhmän loppuraportti. Liikenne- ja viestintäministeriön julkaisuja 2020:17.</t>
  </si>
  <si>
    <t>&gt;10</t>
  </si>
  <si>
    <t>Tilastokeskus: Energia ja päästöt https://pxhopea2.stat.fi/sahkoiset_julkaisut/energia2020/html/suom0011.htm Viitattu 26.4.2021, Energiatehokkuustyöryhmän raportti. Työ- ja elinkeinoministeriön julkaisuja • Energia • 2019:53</t>
  </si>
  <si>
    <t>&gt;1</t>
  </si>
  <si>
    <t>Energiatehokkuudella saavutettavaksi päästövähennykseksi on arvioitu yhteensä 14–22 Mt vuosien 2021–2030 aikana. Tätä ei voi kuitenkaan suoraan kymmenellä jakamalla jyvittää vuosittaiseksi luvuksi, koska kokonaisvähennys on kumulatiivinen.</t>
  </si>
  <si>
    <t>&gt;15</t>
  </si>
  <si>
    <t xml:space="preserve">Energiateollisuuden kokonaispäästöt vuonna 2016 olivat 19 Mt, päästövähennyspolun tavoitepäästötasot ovat 4,3 Mt vuonna 2035 ja 2,1 Mt vuonna 2040. </t>
  </si>
  <si>
    <t>PÄÄSTÖVÄHENNYSPOLKU KOHTI HIILINEUTRAALIA SUOMEA - HAHMOTELMA. Suomen Ilmastopaneeli
Raportti 7/2019</t>
  </si>
  <si>
    <t>Maankäyttösektorin ilmastotoimenpitein aikaansaatava kasvihuonekaasupäästövaikutuksen minimi- ja maksimiarviot (Mt CO₂ ekvivalenttia) vuonna 2035, jos toimenpiteen vuosittainen toteutuspinta-ala on vuodesta 2021 lähtien taulukossa esitetyn mukainen. Negatiiviset luvut tarkoittavat lisänielua eli kasvihuonekaasujen poistamista ilmakehästä.</t>
  </si>
  <si>
    <t>Maankäyttösektorin toimenpiteillä suo-, vesi-, metsäsektoreilla vuoteen 2035 saavutettavissa 5–10 Mt päästövähennys</t>
  </si>
  <si>
    <t>5,1–9,7</t>
  </si>
  <si>
    <t>Vaikeasti kvantifioitavissa. Oletettavasti vähäinen vaikutus.</t>
  </si>
  <si>
    <t>Vesihuollon energiansäästöpotentiaali on noin 690 TJ. Päästövähennyspotentiaalina tarkoittaa noin 41 kt CO2e</t>
  </si>
  <si>
    <t>Noin 1</t>
  </si>
  <si>
    <t>https://www.ymparisto.fi/fi-FI/Asiointi_luvat_ja_ymparistovaikutusten_arviointi/Ymparistovaikutusten_arviointi/YVAhankkeet?n5=1</t>
  </si>
  <si>
    <t>&lt;0,1</t>
  </si>
  <si>
    <t>PIMA-hankkeitten ilmastovaikutuksista suurin osa tulee kuljetuksista ja sekin on melko vähäinen</t>
  </si>
  <si>
    <t>Jopa 5</t>
  </si>
  <si>
    <t>LUKE - LUOBIO 7/2021</t>
  </si>
  <si>
    <t>Jopa 15</t>
  </si>
  <si>
    <t>Jopa 15–20</t>
  </si>
  <si>
    <t>Päästöjen minimoinnin osalta voidaan 30 vuoden skaalalla päästä yli 15 Mt/a päästövähennykseen.</t>
  </si>
  <si>
    <t>Kokonaisuudessaan 15–20 Mt vähennyspotentiaali nykyajasta vuoteen 2040</t>
  </si>
  <si>
    <t>ks. Yhdyskuntarakenne-välilehti</t>
  </si>
  <si>
    <t>Muutamia</t>
  </si>
  <si>
    <t>Liittyy osana Maankäytön ratkaisuihin ja Yhdyskuntarakenteeseen alla. Vaikeasti kvantifioitava yksinään.</t>
  </si>
  <si>
    <t>&lt;1</t>
  </si>
  <si>
    <t xml:space="preserve">4 Mt: Ohjelman päästökauppaan kuulumattomat päästöt tulosindikaattorin lähtötasoksi asetetaan vuosien 2008–2010 keskiarvo, joka oli Manner-Suomessa 33,07 milj.t C02-ekv. Tavoitetasoksi asetetaan päästötavoite 29 milj.t C02-ekv vuosien 2021–2023 keskiarvolla mitattuna. </t>
  </si>
  <si>
    <t>https://www.eura2014.fi/rrtiepa/</t>
  </si>
  <si>
    <t>Liittyy Kiertotalouden potentiaalin tunnistamiseen, mutta on vaikutuksiltaan pienempi osa</t>
  </si>
  <si>
    <t>Suorat vaikutukset vähäiset</t>
  </si>
  <si>
    <t>Suorat vaikutukset vähäiset, välilliset vaikutukset voivat olla huomattavia.</t>
  </si>
  <si>
    <t>Todennäköisimmin alle 1</t>
  </si>
  <si>
    <t>Ilmastokriteereillä voidaan rahoitusta jakaessa ohjata hankkeiden suunnittelua, mutta on vaikea arvioida, kuinka paljon näillä on todellista vaikutusta.</t>
  </si>
  <si>
    <t>Jopa &gt;1</t>
  </si>
  <si>
    <t>Tähän mennessä julkaistuissa toimialatiekartoissa (pl. energiaintensiiviset toimialat) yhteensä 700 kt/a vähennys.</t>
  </si>
  <si>
    <t>https://tem.fi/tiekartat</t>
  </si>
  <si>
    <t>Vähennys pl. LULUCF</t>
  </si>
  <si>
    <t>Yhteensä pl. LULUCF</t>
  </si>
  <si>
    <t>&gt;1,5. Jopa yli 10.</t>
  </si>
  <si>
    <t>MTK : Maatalouden ilmastotiekartta</t>
  </si>
  <si>
    <t>Riippuen toteutettavista toimenpiteistä, sekä huomioidaanko LULUCF-sektorin toimet</t>
  </si>
  <si>
    <t>&gt;0,1</t>
  </si>
  <si>
    <t>Osin vaikeasti määritettävä. ELY-keskusten tilaaman joukkoliikenteen päästövähennyspotentiaali noin 20 kt.</t>
  </si>
  <si>
    <t>&gt;2,5</t>
  </si>
  <si>
    <t>Jos fossiilinen henkilöautoilu taajamissa vähenee 50% ja maanteillä 40%, päästövähennys olisi 2,5 Mt luokkaa</t>
  </si>
  <si>
    <t>Noin 0,1</t>
  </si>
  <si>
    <t xml:space="preserve"> Tienpidon koko hiilijalanjälki ~510 kt CO2e/a. Sitä on mahdollista pienentää, mutta on epäselvää, kuinka paljon</t>
  </si>
  <si>
    <t>VÄYLÄNPIDON
HIILIJALANJÄLKI
JA SEN LASKEMINEN. Väyläviraston julkaisuja
50/2019</t>
  </si>
  <si>
    <t>Suorat ilmastovaikutukset jäänevät vähäisiksi.</t>
  </si>
  <si>
    <t>Arvio päästövähennys-potentiaalista (Mt CO2e / a)</t>
  </si>
  <si>
    <t>Kvantitatiiviset arviot kiertotalouden hiilikädenjäljestä ovat tällä hetkellä vaillinaiset. Suppea joukko kiertotalouden osa-alueita pääsee kuitenkin jo usean Mt:n luokkaan, joten yli 10 Mt -suuruusluokka on perusteltu arvio.</t>
  </si>
  <si>
    <t xml:space="preserve">Liittyy kestävämmän kulkumuotojakauman edistämiseen. Nimenomaan rahoituksen keinoin saavutettava vähennys on vaikeasti määritettävä. 10% vähenemä autoilussa tarkoittaisi noin 200 kt vuosittaista päästövähennystä </t>
  </si>
  <si>
    <t>YVA-hankkeitten eri vaihtoehtojen ilmastovaikutuksia vertaamalla on koko Suomessa jopa 1 Mt vuosittainen päästövaikutuspotentiaali. YVA perustuu kuitenkin kokonaisvaltaiseen arviointiin, josta ilmastovaikutukset ovat vain yksi osa.</t>
  </si>
  <si>
    <t>Soitten suojelulla ja ennallistamisella iso vähennyspotentiaali, teoriassa jopa 5 Mt/a lisähiilinieluun. Metsien hiilinielu on suurempi kuin soitten, mutta hiilivarasto pienempi.</t>
  </si>
  <si>
    <t>YLVA</t>
  </si>
  <si>
    <t xml:space="preserve">Fossiiliset khk-päästöt ovat valtakunnallisesti olleet 10–13 Mt vuodessa. Tähän ei kuitenkan liene suuria vaikutusmahdollisuuksia ympäristövalvonnassa. Valvottavat metaanipäästöt ilmaan ovat vaihdelleet 100–250 kt CO2e. </t>
  </si>
  <si>
    <t>&lt;0,5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</si>
</sst>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0" fillId="0" borderId="3" xfId="0" applyBorder="1"/>
    <xf numFmtId="0" fontId="0" fillId="0" borderId="4" xfId="0" applyBorder="1"/>
    <xf numFmtId="0" fontId="2" fillId="0" borderId="1" xfId="0" applyFont="1" applyBorder="1"/>
    <xf numFmtId="0" fontId="2" fillId="0" borderId="2" xfId="0" applyFont="1" applyBorder="1"/>
    <xf numFmtId="9" fontId="0" fillId="0" borderId="0" xfId="0" applyNumberFormat="1"/>
    <xf numFmtId="2" fontId="0" fillId="0" borderId="0" xfId="0" applyNumberFormat="1"/>
    <xf numFmtId="2" fontId="0" fillId="0" borderId="5" xfId="0" applyNumberFormat="1" applyBorder="1"/>
    <xf numFmtId="9" fontId="0" fillId="0" borderId="0" xfId="2" applyFont="1"/>
    <xf numFmtId="0" fontId="4" fillId="0" borderId="0" xfId="3"/>
    <xf numFmtId="43" fontId="0" fillId="0" borderId="0" xfId="1" applyFont="1"/>
    <xf numFmtId="43" fontId="2" fillId="0" borderId="0" xfId="1" applyFont="1"/>
    <xf numFmtId="49" fontId="0" fillId="0" borderId="0" xfId="0" applyNumberFormat="1"/>
    <xf numFmtId="0" fontId="5" fillId="0" borderId="0" xfId="0" applyFont="1"/>
    <xf numFmtId="0" fontId="0" fillId="0" borderId="1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0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65" fontId="0" fillId="0" borderId="0" xfId="1" applyNumberFormat="1" applyFont="1"/>
    <xf numFmtId="49" fontId="6" fillId="0" borderId="0" xfId="0" quotePrefix="1" applyNumberFormat="1" applyFont="1" applyAlignment="1">
      <alignment horizontal="left" vertical="top" wrapText="1"/>
    </xf>
    <xf numFmtId="49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49" fontId="8" fillId="0" borderId="0" xfId="0" applyNumberFormat="1" applyFont="1" applyAlignment="1">
      <alignment wrapText="1"/>
    </xf>
    <xf numFmtId="0" fontId="2" fillId="0" borderId="0" xfId="0" applyFont="1" applyAlignment="1"/>
    <xf numFmtId="0" fontId="0" fillId="0" borderId="0" xfId="0" applyAlignment="1">
      <alignment wrapText="1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49" fontId="10" fillId="2" borderId="5" xfId="0" applyNumberFormat="1" applyFont="1" applyFill="1" applyBorder="1" applyAlignment="1">
      <alignment horizontal="left" wrapText="1"/>
    </xf>
    <xf numFmtId="49" fontId="8" fillId="0" borderId="0" xfId="0" applyNumberFormat="1" applyFont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  <xf numFmtId="49" fontId="9" fillId="0" borderId="0" xfId="3" applyNumberFormat="1" applyFont="1" applyAlignment="1">
      <alignment horizontal="left" vertical="top" wrapText="1"/>
    </xf>
  </cellXfs>
  <cellStyles count="5">
    <cellStyle name="Hyperlinkki" xfId="3" builtinId="8"/>
    <cellStyle name="Normaali" xfId="0" builtinId="0"/>
    <cellStyle name="Pilkku" xfId="1" builtinId="3"/>
    <cellStyle name="Pilkku 2" xfId="4" xr:uid="{C16478A2-9980-41E1-93AF-71F04F605EF1}"/>
    <cellStyle name="Prosenttia" xfId="2" builtinId="5"/>
  </cellStyles>
  <dxfs count="3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mparisto.fi/fi-FI/Asiointi_luvat_ja_ymparistovaikutusten_arviointi/Ymparistovaikutusten_arviointi/YVAhankkeet?n5=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tampere.fi/asuminen-ja-ymparisto/kaavoitus/yleiskaavoitus/hankkeet/yhdyskuntarakenteen-ilmastovaikutusten-arviointi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C8C75-A696-4D77-AABB-46A6C482D415}">
  <dimension ref="A1:D35"/>
  <sheetViews>
    <sheetView tabSelected="1" zoomScale="110" zoomScaleNormal="110" workbookViewId="0">
      <selection activeCell="A2" sqref="A2"/>
    </sheetView>
  </sheetViews>
  <sheetFormatPr defaultRowHeight="14.4" x14ac:dyDescent="0.3"/>
  <cols>
    <col min="1" max="1" width="42.6640625" style="32" customWidth="1"/>
    <col min="2" max="2" width="27.109375" style="28" customWidth="1"/>
    <col min="3" max="3" width="40.5546875" style="27" customWidth="1"/>
    <col min="4" max="4" width="39.44140625" style="31" customWidth="1"/>
  </cols>
  <sheetData>
    <row r="1" spans="1:4" x14ac:dyDescent="0.3">
      <c r="A1" s="32" t="s">
        <v>106</v>
      </c>
    </row>
    <row r="3" spans="1:4" s="35" customFormat="1" ht="36" customHeight="1" thickBot="1" x14ac:dyDescent="0.35">
      <c r="A3" s="36" t="s">
        <v>107</v>
      </c>
      <c r="B3" s="36" t="s">
        <v>212</v>
      </c>
      <c r="C3" s="37" t="s">
        <v>140</v>
      </c>
      <c r="D3" s="37" t="s">
        <v>159</v>
      </c>
    </row>
    <row r="4" spans="1:4" s="33" customFormat="1" ht="27" customHeight="1" x14ac:dyDescent="0.3">
      <c r="A4" s="34" t="s">
        <v>108</v>
      </c>
      <c r="B4" s="29" t="s">
        <v>161</v>
      </c>
      <c r="C4" s="26" t="s">
        <v>160</v>
      </c>
      <c r="D4" s="38"/>
    </row>
    <row r="5" spans="1:4" s="33" customFormat="1" ht="27" customHeight="1" x14ac:dyDescent="0.3">
      <c r="A5" s="34" t="s">
        <v>109</v>
      </c>
      <c r="B5" s="29">
        <f>0.65+0.13</f>
        <v>0.78</v>
      </c>
      <c r="C5" s="27" t="str">
        <f>"Biokaasua realistisesti saatavissa liikennekäyttöön "&amp;ROUND('Liikenne+biokaasu'!C27+'Liikenne+biokaasu'!C28,2)&amp;" TWh vuonna 2030"</f>
        <v>Biokaasua realistisesti saatavissa liikennekäyttöön 3,58 TWh vuonna 2030</v>
      </c>
      <c r="D5" s="38" t="s">
        <v>162</v>
      </c>
    </row>
    <row r="6" spans="1:4" s="33" customFormat="1" ht="27" customHeight="1" x14ac:dyDescent="0.3">
      <c r="A6" s="34" t="s">
        <v>110</v>
      </c>
      <c r="B6" s="29" t="s">
        <v>163</v>
      </c>
      <c r="C6" s="27" t="s">
        <v>213</v>
      </c>
      <c r="D6" s="38" t="s">
        <v>147</v>
      </c>
    </row>
    <row r="7" spans="1:4" s="33" customFormat="1" ht="27" customHeight="1" x14ac:dyDescent="0.3">
      <c r="A7" s="34" t="s">
        <v>111</v>
      </c>
      <c r="B7" s="29" t="s">
        <v>186</v>
      </c>
      <c r="C7" s="27" t="s">
        <v>191</v>
      </c>
      <c r="D7" s="38"/>
    </row>
    <row r="8" spans="1:4" s="33" customFormat="1" ht="27" customHeight="1" x14ac:dyDescent="0.3">
      <c r="A8" s="34" t="s">
        <v>112</v>
      </c>
      <c r="B8" s="29" t="s">
        <v>165</v>
      </c>
      <c r="C8" s="27" t="s">
        <v>166</v>
      </c>
      <c r="D8" s="38" t="s">
        <v>164</v>
      </c>
    </row>
    <row r="9" spans="1:4" s="33" customFormat="1" ht="27" customHeight="1" x14ac:dyDescent="0.3">
      <c r="A9" s="34" t="s">
        <v>113</v>
      </c>
      <c r="B9" s="29" t="s">
        <v>167</v>
      </c>
      <c r="C9" s="27" t="s">
        <v>168</v>
      </c>
      <c r="D9" s="38" t="s">
        <v>169</v>
      </c>
    </row>
    <row r="10" spans="1:4" s="33" customFormat="1" ht="27" customHeight="1" x14ac:dyDescent="0.3">
      <c r="A10" s="34" t="s">
        <v>114</v>
      </c>
      <c r="B10" s="30" t="s">
        <v>172</v>
      </c>
      <c r="C10" s="30" t="s">
        <v>171</v>
      </c>
      <c r="D10" s="39" t="s">
        <v>53</v>
      </c>
    </row>
    <row r="11" spans="1:4" s="33" customFormat="1" ht="27" customHeight="1" x14ac:dyDescent="0.3">
      <c r="A11" s="34" t="s">
        <v>115</v>
      </c>
      <c r="B11" s="30"/>
      <c r="C11" s="30"/>
      <c r="D11" s="39"/>
    </row>
    <row r="12" spans="1:4" s="33" customFormat="1" ht="27" customHeight="1" x14ac:dyDescent="0.3">
      <c r="A12" s="34" t="s">
        <v>116</v>
      </c>
      <c r="B12" s="30"/>
      <c r="C12" s="30"/>
      <c r="D12" s="39"/>
    </row>
    <row r="13" spans="1:4" s="33" customFormat="1" ht="27" customHeight="1" x14ac:dyDescent="0.3">
      <c r="A13" s="34" t="s">
        <v>117</v>
      </c>
      <c r="B13" s="29" t="s">
        <v>161</v>
      </c>
      <c r="C13" s="27" t="s">
        <v>173</v>
      </c>
      <c r="D13" s="38"/>
    </row>
    <row r="14" spans="1:4" s="33" customFormat="1" ht="27" customHeight="1" x14ac:dyDescent="0.3">
      <c r="A14" s="34" t="s">
        <v>118</v>
      </c>
      <c r="B14" s="29" t="s">
        <v>188</v>
      </c>
      <c r="C14" s="27" t="s">
        <v>187</v>
      </c>
      <c r="D14" s="38"/>
    </row>
    <row r="15" spans="1:4" s="33" customFormat="1" ht="27" customHeight="1" x14ac:dyDescent="0.3">
      <c r="A15" s="34" t="s">
        <v>119</v>
      </c>
      <c r="B15" s="29" t="s">
        <v>181</v>
      </c>
      <c r="C15" s="27" t="s">
        <v>183</v>
      </c>
      <c r="D15" s="39" t="s">
        <v>185</v>
      </c>
    </row>
    <row r="16" spans="1:4" s="33" customFormat="1" ht="27" customHeight="1" x14ac:dyDescent="0.3">
      <c r="A16" s="34" t="s">
        <v>120</v>
      </c>
      <c r="B16" s="29" t="s">
        <v>182</v>
      </c>
      <c r="C16" s="27" t="s">
        <v>184</v>
      </c>
      <c r="D16" s="39"/>
    </row>
    <row r="17" spans="1:4" s="33" customFormat="1" ht="27" customHeight="1" x14ac:dyDescent="0.3">
      <c r="A17" s="34" t="s">
        <v>121</v>
      </c>
      <c r="B17" s="29" t="s">
        <v>161</v>
      </c>
      <c r="C17" s="27"/>
      <c r="D17" s="38"/>
    </row>
    <row r="18" spans="1:4" s="33" customFormat="1" ht="27" customHeight="1" x14ac:dyDescent="0.3">
      <c r="A18" s="34" t="s">
        <v>122</v>
      </c>
      <c r="B18" s="29">
        <v>0.04</v>
      </c>
      <c r="C18" s="27" t="s">
        <v>174</v>
      </c>
      <c r="D18" s="38" t="s">
        <v>156</v>
      </c>
    </row>
    <row r="19" spans="1:4" s="33" customFormat="1" ht="27" customHeight="1" x14ac:dyDescent="0.3">
      <c r="A19" s="34" t="s">
        <v>123</v>
      </c>
      <c r="B19" s="29" t="s">
        <v>175</v>
      </c>
      <c r="C19" s="27" t="s">
        <v>215</v>
      </c>
      <c r="D19" s="40" t="s">
        <v>176</v>
      </c>
    </row>
    <row r="20" spans="1:4" s="33" customFormat="1" ht="27" customHeight="1" x14ac:dyDescent="0.3">
      <c r="A20" s="34" t="s">
        <v>124</v>
      </c>
      <c r="B20" s="29" t="s">
        <v>219</v>
      </c>
      <c r="C20" s="27" t="s">
        <v>218</v>
      </c>
      <c r="D20" s="38" t="s">
        <v>217</v>
      </c>
    </row>
    <row r="21" spans="1:4" s="33" customFormat="1" ht="27" customHeight="1" x14ac:dyDescent="0.3">
      <c r="A21" s="34" t="s">
        <v>125</v>
      </c>
      <c r="B21" s="29" t="s">
        <v>177</v>
      </c>
      <c r="C21" s="27" t="s">
        <v>178</v>
      </c>
      <c r="D21" s="38"/>
    </row>
    <row r="22" spans="1:4" s="33" customFormat="1" ht="27" customHeight="1" x14ac:dyDescent="0.3">
      <c r="A22" s="34" t="s">
        <v>126</v>
      </c>
      <c r="B22" s="29" t="s">
        <v>179</v>
      </c>
      <c r="C22" s="27" t="s">
        <v>216</v>
      </c>
      <c r="D22" s="38" t="s">
        <v>180</v>
      </c>
    </row>
    <row r="23" spans="1:4" s="33" customFormat="1" ht="27" customHeight="1" x14ac:dyDescent="0.3">
      <c r="A23" s="34" t="s">
        <v>127</v>
      </c>
      <c r="B23" s="29" t="s">
        <v>161</v>
      </c>
      <c r="C23" s="27"/>
      <c r="D23" s="38"/>
    </row>
    <row r="24" spans="1:4" s="33" customFormat="1" ht="27" customHeight="1" x14ac:dyDescent="0.3">
      <c r="A24" s="34" t="s">
        <v>128</v>
      </c>
      <c r="B24" s="29" t="s">
        <v>194</v>
      </c>
      <c r="C24" s="27" t="s">
        <v>195</v>
      </c>
      <c r="D24" s="38"/>
    </row>
    <row r="25" spans="1:4" s="33" customFormat="1" ht="27" customHeight="1" x14ac:dyDescent="0.3">
      <c r="A25" s="34" t="s">
        <v>129</v>
      </c>
      <c r="B25" s="29">
        <v>4</v>
      </c>
      <c r="C25" s="27" t="s">
        <v>189</v>
      </c>
      <c r="D25" s="38" t="s">
        <v>190</v>
      </c>
    </row>
    <row r="26" spans="1:4" s="33" customFormat="1" ht="27" customHeight="1" x14ac:dyDescent="0.3">
      <c r="A26" s="34" t="s">
        <v>130</v>
      </c>
      <c r="B26" s="29" t="s">
        <v>194</v>
      </c>
      <c r="C26" s="27" t="s">
        <v>195</v>
      </c>
      <c r="D26" s="38"/>
    </row>
    <row r="27" spans="1:4" s="33" customFormat="1" ht="27" customHeight="1" x14ac:dyDescent="0.3">
      <c r="A27" s="34" t="s">
        <v>131</v>
      </c>
      <c r="B27" s="29" t="s">
        <v>192</v>
      </c>
      <c r="C27" s="27" t="s">
        <v>193</v>
      </c>
      <c r="D27" s="38"/>
    </row>
    <row r="28" spans="1:4" s="33" customFormat="1" ht="27" customHeight="1" x14ac:dyDescent="0.3">
      <c r="A28" s="34" t="s">
        <v>132</v>
      </c>
      <c r="B28" s="29" t="s">
        <v>196</v>
      </c>
      <c r="C28" s="27" t="s">
        <v>197</v>
      </c>
      <c r="D28" s="38" t="s">
        <v>198</v>
      </c>
    </row>
    <row r="29" spans="1:4" s="33" customFormat="1" ht="27" customHeight="1" x14ac:dyDescent="0.3">
      <c r="A29" s="34" t="s">
        <v>133</v>
      </c>
      <c r="B29" s="29" t="s">
        <v>201</v>
      </c>
      <c r="C29" s="27" t="s">
        <v>203</v>
      </c>
      <c r="D29" s="38" t="s">
        <v>202</v>
      </c>
    </row>
    <row r="30" spans="1:4" s="33" customFormat="1" ht="27" customHeight="1" x14ac:dyDescent="0.3">
      <c r="A30" s="34" t="s">
        <v>134</v>
      </c>
      <c r="B30" s="29" t="s">
        <v>206</v>
      </c>
      <c r="C30" s="27" t="s">
        <v>207</v>
      </c>
      <c r="D30" s="38"/>
    </row>
    <row r="31" spans="1:4" s="33" customFormat="1" ht="27" customHeight="1" x14ac:dyDescent="0.3">
      <c r="A31" s="34" t="s">
        <v>135</v>
      </c>
      <c r="B31" s="29" t="s">
        <v>204</v>
      </c>
      <c r="C31" s="27" t="s">
        <v>205</v>
      </c>
      <c r="D31" s="38"/>
    </row>
    <row r="32" spans="1:4" s="33" customFormat="1" ht="27" customHeight="1" x14ac:dyDescent="0.3">
      <c r="A32" s="34" t="s">
        <v>136</v>
      </c>
      <c r="B32" s="29" t="s">
        <v>161</v>
      </c>
      <c r="C32" s="27"/>
      <c r="D32" s="38"/>
    </row>
    <row r="33" spans="1:4" s="33" customFormat="1" ht="27" customHeight="1" x14ac:dyDescent="0.3">
      <c r="A33" s="34" t="s">
        <v>137</v>
      </c>
      <c r="B33" s="29" t="s">
        <v>188</v>
      </c>
      <c r="C33" s="27" t="s">
        <v>214</v>
      </c>
      <c r="D33" s="38"/>
    </row>
    <row r="34" spans="1:4" s="33" customFormat="1" ht="27" customHeight="1" x14ac:dyDescent="0.3">
      <c r="A34" s="34" t="s">
        <v>138</v>
      </c>
      <c r="B34" s="29" t="s">
        <v>208</v>
      </c>
      <c r="C34" s="27" t="s">
        <v>209</v>
      </c>
      <c r="D34" s="38" t="s">
        <v>210</v>
      </c>
    </row>
    <row r="35" spans="1:4" s="33" customFormat="1" ht="27" customHeight="1" x14ac:dyDescent="0.3">
      <c r="A35" s="34" t="s">
        <v>139</v>
      </c>
      <c r="B35" s="29" t="s">
        <v>177</v>
      </c>
      <c r="C35" s="27" t="s">
        <v>211</v>
      </c>
      <c r="D35" s="38"/>
    </row>
  </sheetData>
  <mergeCells count="4">
    <mergeCell ref="C10:C12"/>
    <mergeCell ref="B10:B12"/>
    <mergeCell ref="D10:D12"/>
    <mergeCell ref="D15:D16"/>
  </mergeCells>
  <conditionalFormatting sqref="B4:B35">
    <cfRule type="containsBlanks" dxfId="2" priority="3">
      <formula>LEN(TRIM(B4))=0</formula>
    </cfRule>
  </conditionalFormatting>
  <conditionalFormatting sqref="C22">
    <cfRule type="containsBlanks" dxfId="1" priority="2">
      <formula>LEN(TRIM(C22))=0</formula>
    </cfRule>
  </conditionalFormatting>
  <conditionalFormatting sqref="C19:C20">
    <cfRule type="containsBlanks" dxfId="0" priority="1">
      <formula>LEN(TRIM(C19))=0</formula>
    </cfRule>
  </conditionalFormatting>
  <hyperlinks>
    <hyperlink ref="D19" r:id="rId1" xr:uid="{CB571BA3-F18B-43AC-88D6-962B05C9EEB9}"/>
  </hyperlinks>
  <pageMargins left="0.7" right="0.7" top="0.75" bottom="0.75" header="0.3" footer="0.3"/>
  <pageSetup paperSize="9" orientation="portrait" horizontalDpi="300" verticalDpi="0" copies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4557E-EB7F-4B59-B482-0FA76ACBD20F}">
  <dimension ref="A2:K28"/>
  <sheetViews>
    <sheetView workbookViewId="0">
      <selection activeCell="D35" sqref="D35"/>
    </sheetView>
  </sheetViews>
  <sheetFormatPr defaultRowHeight="14.4" x14ac:dyDescent="0.3"/>
  <cols>
    <col min="1" max="1" width="20.21875" customWidth="1"/>
    <col min="3" max="3" width="14.33203125" customWidth="1"/>
    <col min="4" max="4" width="21.44140625" customWidth="1"/>
    <col min="5" max="5" width="17.88671875" customWidth="1"/>
    <col min="6" max="6" width="17" customWidth="1"/>
    <col min="10" max="10" width="13" customWidth="1"/>
  </cols>
  <sheetData>
    <row r="2" spans="1:11" x14ac:dyDescent="0.3">
      <c r="A2" s="1" t="s">
        <v>19</v>
      </c>
    </row>
    <row r="3" spans="1:11" x14ac:dyDescent="0.3">
      <c r="A3" t="s">
        <v>0</v>
      </c>
      <c r="B3" t="s">
        <v>1</v>
      </c>
      <c r="C3" t="s">
        <v>14</v>
      </c>
      <c r="D3" t="s">
        <v>2</v>
      </c>
      <c r="E3" t="s">
        <v>13</v>
      </c>
      <c r="F3" t="s">
        <v>3</v>
      </c>
      <c r="G3" t="s">
        <v>0</v>
      </c>
      <c r="J3" s="1" t="s">
        <v>15</v>
      </c>
      <c r="K3" s="1" t="s">
        <v>20</v>
      </c>
    </row>
    <row r="4" spans="1:11" x14ac:dyDescent="0.3">
      <c r="A4" t="s">
        <v>4</v>
      </c>
      <c r="B4" t="s">
        <v>5</v>
      </c>
      <c r="C4">
        <v>1616.442</v>
      </c>
      <c r="D4">
        <v>7239.79</v>
      </c>
      <c r="E4">
        <v>26063.243999999999</v>
      </c>
      <c r="F4" s="7">
        <v>11248.6339999999</v>
      </c>
      <c r="G4" t="s">
        <v>4</v>
      </c>
      <c r="J4">
        <f>C4/E4</f>
        <v>6.2019984925897949E-2</v>
      </c>
      <c r="K4">
        <f>C4/F4</f>
        <v>0.14370118185017081</v>
      </c>
    </row>
    <row r="5" spans="1:11" x14ac:dyDescent="0.3">
      <c r="A5" t="s">
        <v>6</v>
      </c>
      <c r="B5" t="s">
        <v>5</v>
      </c>
      <c r="C5">
        <v>231.599999999999</v>
      </c>
      <c r="D5">
        <v>865.59399999999903</v>
      </c>
      <c r="E5">
        <v>3116.1383999999966</v>
      </c>
      <c r="F5" s="7">
        <v>1464.0039999999899</v>
      </c>
      <c r="G5" t="s">
        <v>6</v>
      </c>
      <c r="J5">
        <f t="shared" ref="J5:J11" si="0">C5/E5</f>
        <v>7.4322757936553546E-2</v>
      </c>
      <c r="K5">
        <f t="shared" ref="K5:K11" si="1">C5/F5</f>
        <v>0.15819628908117778</v>
      </c>
    </row>
    <row r="6" spans="1:11" x14ac:dyDescent="0.3">
      <c r="A6" t="s">
        <v>7</v>
      </c>
      <c r="B6" t="s">
        <v>5</v>
      </c>
      <c r="C6">
        <v>158.32400000000001</v>
      </c>
      <c r="D6">
        <v>585.33599999999899</v>
      </c>
      <c r="E6">
        <v>2107.2095999999965</v>
      </c>
      <c r="F6" s="7">
        <v>121.755</v>
      </c>
      <c r="G6" t="s">
        <v>7</v>
      </c>
      <c r="J6">
        <f t="shared" si="0"/>
        <v>7.5134433707971085E-2</v>
      </c>
      <c r="K6">
        <f t="shared" si="1"/>
        <v>1.3003490616401792</v>
      </c>
    </row>
    <row r="7" spans="1:11" x14ac:dyDescent="0.3">
      <c r="A7" t="s">
        <v>8</v>
      </c>
      <c r="B7" t="s">
        <v>5</v>
      </c>
      <c r="C7">
        <v>725.53</v>
      </c>
      <c r="D7">
        <v>2295.7159999999999</v>
      </c>
      <c r="E7">
        <v>8264.5776000000005</v>
      </c>
      <c r="F7" s="7">
        <v>462.65600000000001</v>
      </c>
      <c r="G7" t="s">
        <v>8</v>
      </c>
      <c r="J7">
        <f t="shared" si="0"/>
        <v>8.778791066103607E-2</v>
      </c>
      <c r="K7">
        <f t="shared" si="1"/>
        <v>1.5681845690966938</v>
      </c>
    </row>
    <row r="8" spans="1:11" x14ac:dyDescent="0.3">
      <c r="A8" t="s">
        <v>9</v>
      </c>
      <c r="B8" t="s">
        <v>5</v>
      </c>
      <c r="C8">
        <v>4294.6899999999896</v>
      </c>
      <c r="D8">
        <v>16431.903999999999</v>
      </c>
      <c r="E8">
        <v>59154.854399999997</v>
      </c>
      <c r="F8" s="7">
        <v>29559.6349999999</v>
      </c>
      <c r="G8" t="s">
        <v>9</v>
      </c>
      <c r="J8">
        <f t="shared" si="0"/>
        <v>7.2600804170012287E-2</v>
      </c>
      <c r="K8">
        <f t="shared" si="1"/>
        <v>0.1452890064440919</v>
      </c>
    </row>
    <row r="9" spans="1:11" x14ac:dyDescent="0.3">
      <c r="A9" t="s">
        <v>10</v>
      </c>
      <c r="B9" t="s">
        <v>5</v>
      </c>
      <c r="C9">
        <v>686.854999999999</v>
      </c>
      <c r="D9">
        <v>2705.5340000000001</v>
      </c>
      <c r="E9">
        <v>9739.9224000000013</v>
      </c>
      <c r="F9" s="7">
        <v>4278.3530000000001</v>
      </c>
      <c r="G9" t="s">
        <v>10</v>
      </c>
      <c r="J9">
        <f t="shared" si="0"/>
        <v>7.0519555679416798E-2</v>
      </c>
      <c r="K9">
        <f t="shared" si="1"/>
        <v>0.16054191881782523</v>
      </c>
    </row>
    <row r="10" spans="1:11" x14ac:dyDescent="0.3">
      <c r="A10" t="s">
        <v>11</v>
      </c>
      <c r="B10" t="s">
        <v>5</v>
      </c>
      <c r="C10">
        <v>358.159999999999</v>
      </c>
      <c r="D10">
        <v>1491.4549999999899</v>
      </c>
      <c r="E10">
        <v>5369.2379999999639</v>
      </c>
      <c r="F10" s="7">
        <v>493.176999999999</v>
      </c>
      <c r="G10" t="s">
        <v>11</v>
      </c>
      <c r="J10">
        <f t="shared" si="0"/>
        <v>6.6705927358780032E-2</v>
      </c>
      <c r="K10">
        <f t="shared" si="1"/>
        <v>0.72623013644188539</v>
      </c>
    </row>
    <row r="11" spans="1:11" ht="15" thickBot="1" x14ac:dyDescent="0.35">
      <c r="A11" t="s">
        <v>12</v>
      </c>
      <c r="B11" t="s">
        <v>5</v>
      </c>
      <c r="C11">
        <v>2849.2919999999999</v>
      </c>
      <c r="D11">
        <v>15923.414999999901</v>
      </c>
      <c r="E11">
        <v>57324.293999999645</v>
      </c>
      <c r="F11" s="8">
        <v>2966.5309999999899</v>
      </c>
      <c r="G11" t="s">
        <v>12</v>
      </c>
      <c r="J11">
        <f t="shared" si="0"/>
        <v>4.9704790084288131E-2</v>
      </c>
      <c r="K11">
        <f t="shared" si="1"/>
        <v>0.96047942866601077</v>
      </c>
    </row>
    <row r="12" spans="1:11" ht="15" thickBot="1" x14ac:dyDescent="0.35">
      <c r="F12">
        <f>SUM(F4:F11)</f>
        <v>50594.744999999777</v>
      </c>
    </row>
    <row r="13" spans="1:11" x14ac:dyDescent="0.3">
      <c r="I13" s="4" t="s">
        <v>16</v>
      </c>
      <c r="J13" s="5">
        <f>AVERAGE(J4:J11)</f>
        <v>6.9849520565494483E-2</v>
      </c>
    </row>
    <row r="14" spans="1:11" ht="15" thickBot="1" x14ac:dyDescent="0.35">
      <c r="I14" s="2" t="s">
        <v>17</v>
      </c>
      <c r="J14" s="3">
        <f>_xlfn.STDEV.P(J4:J11)</f>
        <v>1.0336455388508562E-2</v>
      </c>
    </row>
    <row r="16" spans="1:11" x14ac:dyDescent="0.3">
      <c r="A16" s="1" t="s">
        <v>18</v>
      </c>
    </row>
    <row r="17" spans="1:6" x14ac:dyDescent="0.3">
      <c r="A17" s="1" t="s">
        <v>21</v>
      </c>
    </row>
    <row r="18" spans="1:6" x14ac:dyDescent="0.3">
      <c r="C18" s="6">
        <v>0.02</v>
      </c>
      <c r="D18" s="6">
        <v>0.05</v>
      </c>
      <c r="E18" s="6">
        <v>0.1</v>
      </c>
      <c r="F18" s="6">
        <v>0.5</v>
      </c>
    </row>
    <row r="19" spans="1:6" x14ac:dyDescent="0.3">
      <c r="A19" t="s">
        <v>23</v>
      </c>
      <c r="C19">
        <f>C18*$F$4</f>
        <v>224.97267999999801</v>
      </c>
      <c r="D19">
        <f t="shared" ref="D19:F19" si="2">D18*$F$4</f>
        <v>562.43169999999498</v>
      </c>
      <c r="E19">
        <f t="shared" si="2"/>
        <v>1124.86339999999</v>
      </c>
      <c r="F19">
        <f t="shared" si="2"/>
        <v>5624.31699999995</v>
      </c>
    </row>
    <row r="20" spans="1:6" x14ac:dyDescent="0.3">
      <c r="A20" t="s">
        <v>22</v>
      </c>
      <c r="C20">
        <f>C19*$K$4</f>
        <v>32.32884</v>
      </c>
      <c r="D20">
        <f t="shared" ref="D20:F20" si="3">D19*$K$4</f>
        <v>80.822099999999992</v>
      </c>
      <c r="E20">
        <f t="shared" si="3"/>
        <v>161.64419999999998</v>
      </c>
      <c r="F20">
        <f t="shared" si="3"/>
        <v>808.22099999999989</v>
      </c>
    </row>
    <row r="21" spans="1:6" x14ac:dyDescent="0.3">
      <c r="A21" s="1" t="s">
        <v>24</v>
      </c>
    </row>
    <row r="25" spans="1:6" x14ac:dyDescent="0.3">
      <c r="A25" s="1" t="s">
        <v>25</v>
      </c>
    </row>
    <row r="26" spans="1:6" x14ac:dyDescent="0.3">
      <c r="B26" t="s">
        <v>27</v>
      </c>
      <c r="C26" t="s">
        <v>28</v>
      </c>
      <c r="D26" t="s">
        <v>33</v>
      </c>
      <c r="E26" t="s">
        <v>32</v>
      </c>
    </row>
    <row r="27" spans="1:6" x14ac:dyDescent="0.3">
      <c r="A27" t="s">
        <v>26</v>
      </c>
      <c r="B27">
        <v>9300</v>
      </c>
      <c r="C27" s="7">
        <f>B27/3600</f>
        <v>2.5833333333333335</v>
      </c>
      <c r="D27">
        <f>B27*J13</f>
        <v>649.60054125909869</v>
      </c>
      <c r="E27" t="s">
        <v>31</v>
      </c>
    </row>
    <row r="28" spans="1:6" x14ac:dyDescent="0.3">
      <c r="A28" t="s">
        <v>29</v>
      </c>
      <c r="B28">
        <f>3600*C28</f>
        <v>3600</v>
      </c>
      <c r="C28">
        <v>1</v>
      </c>
      <c r="D28">
        <v>131</v>
      </c>
      <c r="E28" t="s">
        <v>30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8BD35-2563-433E-B383-3E66CBD01C2C}">
  <dimension ref="A2:F34"/>
  <sheetViews>
    <sheetView workbookViewId="0">
      <selection activeCell="A34" sqref="A34"/>
    </sheetView>
  </sheetViews>
  <sheetFormatPr defaultRowHeight="14.4" x14ac:dyDescent="0.3"/>
  <cols>
    <col min="1" max="1" width="25.88671875" customWidth="1"/>
    <col min="2" max="2" width="17.44140625" customWidth="1"/>
    <col min="3" max="3" width="10.88671875" customWidth="1"/>
    <col min="4" max="4" width="11.6640625" customWidth="1"/>
    <col min="5" max="5" width="10.33203125" customWidth="1"/>
  </cols>
  <sheetData>
    <row r="2" spans="1:5" x14ac:dyDescent="0.3">
      <c r="A2" s="1" t="s">
        <v>170</v>
      </c>
    </row>
    <row r="3" spans="1:5" x14ac:dyDescent="0.3">
      <c r="A3" s="1"/>
      <c r="B3" t="s">
        <v>49</v>
      </c>
      <c r="D3" t="s">
        <v>52</v>
      </c>
    </row>
    <row r="4" spans="1:5" x14ac:dyDescent="0.3">
      <c r="A4" s="1"/>
      <c r="B4" t="s">
        <v>50</v>
      </c>
      <c r="C4" t="s">
        <v>51</v>
      </c>
      <c r="D4" t="s">
        <v>50</v>
      </c>
      <c r="E4" t="s">
        <v>51</v>
      </c>
    </row>
    <row r="5" spans="1:5" x14ac:dyDescent="0.3">
      <c r="A5" t="s">
        <v>34</v>
      </c>
      <c r="B5">
        <v>-0.09</v>
      </c>
      <c r="C5">
        <v>-0.25</v>
      </c>
      <c r="D5">
        <v>3</v>
      </c>
      <c r="E5">
        <v>7.9</v>
      </c>
    </row>
    <row r="6" spans="1:5" x14ac:dyDescent="0.3">
      <c r="A6" t="s">
        <v>35</v>
      </c>
      <c r="B6">
        <v>-0.14000000000000001</v>
      </c>
      <c r="C6">
        <v>-0.91</v>
      </c>
      <c r="D6">
        <v>0.3</v>
      </c>
      <c r="E6">
        <v>4</v>
      </c>
    </row>
    <row r="7" spans="1:5" x14ac:dyDescent="0.3">
      <c r="A7" t="s">
        <v>36</v>
      </c>
      <c r="B7">
        <v>-0.21</v>
      </c>
      <c r="C7">
        <v>-0.69</v>
      </c>
      <c r="D7">
        <v>150</v>
      </c>
      <c r="E7">
        <v>1000</v>
      </c>
    </row>
    <row r="8" spans="1:5" x14ac:dyDescent="0.3">
      <c r="A8" t="s">
        <v>37</v>
      </c>
      <c r="B8">
        <v>-0.57999999999999996</v>
      </c>
      <c r="C8">
        <v>-0.68</v>
      </c>
      <c r="D8">
        <v>6.5</v>
      </c>
      <c r="E8">
        <v>6.5</v>
      </c>
    </row>
    <row r="9" spans="1:5" x14ac:dyDescent="0.3">
      <c r="A9" t="s">
        <v>38</v>
      </c>
      <c r="B9">
        <v>-0.09</v>
      </c>
      <c r="C9">
        <v>-0.28000000000000003</v>
      </c>
      <c r="D9">
        <v>30</v>
      </c>
      <c r="E9">
        <v>77</v>
      </c>
    </row>
    <row r="10" spans="1:5" x14ac:dyDescent="0.3">
      <c r="A10" t="s">
        <v>39</v>
      </c>
      <c r="B10">
        <v>-0.31</v>
      </c>
      <c r="C10">
        <v>-0.62</v>
      </c>
      <c r="D10">
        <v>30</v>
      </c>
      <c r="E10">
        <v>50</v>
      </c>
    </row>
    <row r="11" spans="1:5" x14ac:dyDescent="0.3">
      <c r="A11" t="s">
        <v>40</v>
      </c>
      <c r="B11">
        <v>-0.31</v>
      </c>
      <c r="C11">
        <v>-0.31</v>
      </c>
      <c r="D11">
        <v>30</v>
      </c>
      <c r="E11">
        <v>30</v>
      </c>
    </row>
    <row r="12" spans="1:5" x14ac:dyDescent="0.3">
      <c r="A12" t="s">
        <v>41</v>
      </c>
      <c r="B12">
        <v>-0.15</v>
      </c>
      <c r="C12">
        <v>-0.32</v>
      </c>
      <c r="D12">
        <v>15</v>
      </c>
      <c r="E12">
        <v>15</v>
      </c>
    </row>
    <row r="13" spans="1:5" x14ac:dyDescent="0.3">
      <c r="A13" t="s">
        <v>42</v>
      </c>
      <c r="B13">
        <v>-0.3</v>
      </c>
      <c r="C13">
        <v>-2.4</v>
      </c>
      <c r="D13">
        <v>65</v>
      </c>
      <c r="E13">
        <v>80</v>
      </c>
    </row>
    <row r="14" spans="1:5" x14ac:dyDescent="0.3">
      <c r="A14" t="s">
        <v>43</v>
      </c>
      <c r="B14">
        <v>-0.08</v>
      </c>
      <c r="C14">
        <v>-0.28000000000000003</v>
      </c>
      <c r="D14">
        <v>3</v>
      </c>
      <c r="E14">
        <v>10</v>
      </c>
    </row>
    <row r="15" spans="1:5" x14ac:dyDescent="0.3">
      <c r="A15" t="s">
        <v>44</v>
      </c>
      <c r="B15">
        <v>-1.5</v>
      </c>
      <c r="C15">
        <v>-1.5</v>
      </c>
      <c r="D15" t="s">
        <v>45</v>
      </c>
      <c r="E15" t="s">
        <v>45</v>
      </c>
    </row>
    <row r="16" spans="1:5" x14ac:dyDescent="0.3">
      <c r="A16" t="s">
        <v>46</v>
      </c>
      <c r="B16">
        <v>-0.12</v>
      </c>
      <c r="C16">
        <v>-0.24</v>
      </c>
      <c r="D16">
        <v>2.9</v>
      </c>
      <c r="E16">
        <v>5.8</v>
      </c>
    </row>
    <row r="17" spans="1:6" x14ac:dyDescent="0.3">
      <c r="A17" t="s">
        <v>47</v>
      </c>
      <c r="B17">
        <v>-1.26</v>
      </c>
      <c r="C17">
        <v>-1.26</v>
      </c>
      <c r="D17" t="s">
        <v>45</v>
      </c>
      <c r="E17" t="s">
        <v>45</v>
      </c>
    </row>
    <row r="18" spans="1:6" x14ac:dyDescent="0.3">
      <c r="A18" t="s">
        <v>48</v>
      </c>
      <c r="B18">
        <f>SUM(B5:B17)</f>
        <v>-5.1400000000000006</v>
      </c>
      <c r="C18">
        <f t="shared" ref="C18:E18" si="0">SUM(C5:C17)</f>
        <v>-9.740000000000002</v>
      </c>
      <c r="D18">
        <f t="shared" si="0"/>
        <v>335.7</v>
      </c>
      <c r="E18">
        <f t="shared" si="0"/>
        <v>1286.2</v>
      </c>
    </row>
    <row r="20" spans="1:6" x14ac:dyDescent="0.3">
      <c r="A20" t="s">
        <v>53</v>
      </c>
    </row>
    <row r="22" spans="1:6" x14ac:dyDescent="0.3">
      <c r="A22" s="1" t="s">
        <v>66</v>
      </c>
    </row>
    <row r="23" spans="1:6" x14ac:dyDescent="0.3">
      <c r="A23" t="s">
        <v>54</v>
      </c>
      <c r="B23" t="s">
        <v>61</v>
      </c>
      <c r="C23" t="s">
        <v>62</v>
      </c>
      <c r="D23" t="s">
        <v>63</v>
      </c>
      <c r="F23" t="s">
        <v>82</v>
      </c>
    </row>
    <row r="24" spans="1:6" x14ac:dyDescent="0.3">
      <c r="A24" t="s">
        <v>55</v>
      </c>
      <c r="B24">
        <v>6.49</v>
      </c>
      <c r="C24">
        <v>5.24</v>
      </c>
      <c r="D24">
        <v>4.87</v>
      </c>
    </row>
    <row r="25" spans="1:6" x14ac:dyDescent="0.3">
      <c r="A25" t="s">
        <v>56</v>
      </c>
      <c r="B25">
        <v>7.17</v>
      </c>
      <c r="C25">
        <v>5.62</v>
      </c>
      <c r="D25">
        <v>4.1100000000000003</v>
      </c>
    </row>
    <row r="26" spans="1:6" x14ac:dyDescent="0.3">
      <c r="A26" t="s">
        <v>57</v>
      </c>
      <c r="B26">
        <v>1.37</v>
      </c>
      <c r="C26">
        <v>-2</v>
      </c>
      <c r="D26">
        <v>-5</v>
      </c>
    </row>
    <row r="27" spans="1:6" x14ac:dyDescent="0.3">
      <c r="A27" t="s">
        <v>58</v>
      </c>
      <c r="B27">
        <v>0</v>
      </c>
      <c r="C27">
        <v>-0.4</v>
      </c>
      <c r="D27">
        <v>-0.8</v>
      </c>
    </row>
    <row r="28" spans="1:6" x14ac:dyDescent="0.3">
      <c r="A28" t="s">
        <v>59</v>
      </c>
      <c r="B28">
        <v>0.9</v>
      </c>
      <c r="C28">
        <v>0.7</v>
      </c>
      <c r="D28">
        <v>0.5</v>
      </c>
    </row>
    <row r="29" spans="1:6" x14ac:dyDescent="0.3">
      <c r="A29" t="s">
        <v>60</v>
      </c>
      <c r="B29">
        <v>15.93</v>
      </c>
      <c r="C29">
        <v>9.16</v>
      </c>
      <c r="D29">
        <v>3.68</v>
      </c>
    </row>
    <row r="30" spans="1:6" x14ac:dyDescent="0.3">
      <c r="A30" t="s">
        <v>200</v>
      </c>
      <c r="B30">
        <f>SUM(B24,B27,B28)</f>
        <v>7.3900000000000006</v>
      </c>
      <c r="C30">
        <f>SUM(C24,C27,C28)</f>
        <v>5.54</v>
      </c>
      <c r="D30">
        <f>SUM(D24,D27,D28)</f>
        <v>4.57</v>
      </c>
    </row>
    <row r="31" spans="1:6" x14ac:dyDescent="0.3">
      <c r="A31" t="s">
        <v>64</v>
      </c>
      <c r="C31" s="9">
        <v>0.57999999999999996</v>
      </c>
      <c r="D31" s="9">
        <v>0.23</v>
      </c>
    </row>
    <row r="32" spans="1:6" x14ac:dyDescent="0.3">
      <c r="A32" s="1" t="s">
        <v>67</v>
      </c>
      <c r="B32" s="1"/>
      <c r="C32" s="1">
        <f>$B$29-C29</f>
        <v>6.77</v>
      </c>
      <c r="D32" s="1">
        <f>$B$29-D29</f>
        <v>12.25</v>
      </c>
    </row>
    <row r="33" spans="1:4" x14ac:dyDescent="0.3">
      <c r="A33" s="1" t="s">
        <v>199</v>
      </c>
      <c r="B33" s="1"/>
      <c r="C33" s="1">
        <f>$B$30-C30</f>
        <v>1.8500000000000005</v>
      </c>
      <c r="D33" s="1">
        <f>$B$30-D30</f>
        <v>2.8200000000000003</v>
      </c>
    </row>
    <row r="34" spans="1:4" x14ac:dyDescent="0.3">
      <c r="A34" t="s">
        <v>65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643D6-C0D4-45DF-8BD7-2140C81C05EA}">
  <dimension ref="A1:G20"/>
  <sheetViews>
    <sheetView workbookViewId="0">
      <selection activeCell="A2" sqref="A2"/>
    </sheetView>
  </sheetViews>
  <sheetFormatPr defaultRowHeight="14.4" x14ac:dyDescent="0.3"/>
  <sheetData>
    <row r="1" spans="1:6" x14ac:dyDescent="0.3">
      <c r="A1" t="s">
        <v>83</v>
      </c>
    </row>
    <row r="2" spans="1:6" x14ac:dyDescent="0.3">
      <c r="B2" t="s">
        <v>84</v>
      </c>
      <c r="C2" t="s">
        <v>85</v>
      </c>
      <c r="D2" t="s">
        <v>86</v>
      </c>
      <c r="E2" t="s">
        <v>87</v>
      </c>
      <c r="F2" t="s">
        <v>88</v>
      </c>
    </row>
    <row r="3" spans="1:6" x14ac:dyDescent="0.3">
      <c r="A3" t="s">
        <v>89</v>
      </c>
      <c r="E3" s="14" t="s">
        <v>90</v>
      </c>
    </row>
    <row r="4" spans="1:6" x14ac:dyDescent="0.3">
      <c r="A4" t="s">
        <v>91</v>
      </c>
      <c r="B4">
        <v>8400</v>
      </c>
      <c r="C4">
        <v>10150</v>
      </c>
      <c r="D4">
        <v>262000</v>
      </c>
      <c r="E4">
        <v>253600</v>
      </c>
      <c r="F4">
        <v>251850</v>
      </c>
    </row>
    <row r="5" spans="1:6" x14ac:dyDescent="0.3">
      <c r="A5" t="s">
        <v>92</v>
      </c>
      <c r="B5">
        <v>12988</v>
      </c>
      <c r="C5">
        <v>32471</v>
      </c>
      <c r="D5">
        <v>0</v>
      </c>
      <c r="E5">
        <v>-12988</v>
      </c>
      <c r="F5">
        <v>-32471</v>
      </c>
    </row>
    <row r="6" spans="1:6" x14ac:dyDescent="0.3">
      <c r="A6" t="s">
        <v>93</v>
      </c>
      <c r="B6">
        <v>1681414</v>
      </c>
      <c r="C6">
        <v>1685422</v>
      </c>
      <c r="D6">
        <v>1687527</v>
      </c>
      <c r="E6">
        <v>6113</v>
      </c>
      <c r="F6">
        <v>2105</v>
      </c>
    </row>
    <row r="7" spans="1:6" x14ac:dyDescent="0.3">
      <c r="A7" t="s">
        <v>94</v>
      </c>
      <c r="B7">
        <v>178000</v>
      </c>
      <c r="C7">
        <v>238000</v>
      </c>
      <c r="D7">
        <v>148000</v>
      </c>
      <c r="E7">
        <v>-30000</v>
      </c>
      <c r="F7">
        <v>-90000</v>
      </c>
    </row>
    <row r="8" spans="1:6" x14ac:dyDescent="0.3">
      <c r="A8" t="s">
        <v>95</v>
      </c>
    </row>
    <row r="9" spans="1:6" x14ac:dyDescent="0.3">
      <c r="A9" t="s">
        <v>96</v>
      </c>
      <c r="B9">
        <v>108562.73999999999</v>
      </c>
      <c r="C9">
        <v>204313.09</v>
      </c>
      <c r="E9">
        <v>-108562.73999999999</v>
      </c>
      <c r="F9">
        <v>-204313.09</v>
      </c>
    </row>
    <row r="10" spans="1:6" x14ac:dyDescent="0.3">
      <c r="A10" t="s">
        <v>97</v>
      </c>
      <c r="B10">
        <v>31833.006305808005</v>
      </c>
      <c r="C10">
        <v>32880.006305808005</v>
      </c>
      <c r="D10">
        <v>185075.61805702324</v>
      </c>
      <c r="E10">
        <v>153242.61175121524</v>
      </c>
      <c r="F10">
        <v>152195.61175121524</v>
      </c>
    </row>
    <row r="11" spans="1:6" x14ac:dyDescent="0.3">
      <c r="A11" t="s">
        <v>98</v>
      </c>
      <c r="E11">
        <v>0</v>
      </c>
      <c r="F11">
        <v>0</v>
      </c>
    </row>
    <row r="12" spans="1:6" x14ac:dyDescent="0.3">
      <c r="A12" t="s">
        <v>99</v>
      </c>
      <c r="E12">
        <v>4000000</v>
      </c>
      <c r="F12">
        <v>4000000</v>
      </c>
    </row>
    <row r="13" spans="1:6" x14ac:dyDescent="0.3">
      <c r="A13" t="s">
        <v>100</v>
      </c>
      <c r="B13">
        <v>-46200</v>
      </c>
      <c r="C13">
        <v>-29800</v>
      </c>
      <c r="D13">
        <v>0</v>
      </c>
      <c r="E13">
        <v>46200</v>
      </c>
      <c r="F13">
        <v>29800</v>
      </c>
    </row>
    <row r="14" spans="1:6" x14ac:dyDescent="0.3">
      <c r="A14" t="s">
        <v>101</v>
      </c>
      <c r="B14">
        <v>13980</v>
      </c>
      <c r="C14">
        <v>27540</v>
      </c>
      <c r="D14">
        <v>0</v>
      </c>
      <c r="E14">
        <v>-13980</v>
      </c>
      <c r="F14">
        <v>-27540</v>
      </c>
    </row>
    <row r="15" spans="1:6" x14ac:dyDescent="0.3">
      <c r="A15" t="s">
        <v>102</v>
      </c>
      <c r="B15">
        <v>80760</v>
      </c>
      <c r="C15">
        <v>161820</v>
      </c>
      <c r="D15">
        <v>30000</v>
      </c>
      <c r="E15">
        <v>-50760</v>
      </c>
      <c r="F15">
        <v>-131820</v>
      </c>
    </row>
    <row r="17" spans="1:7" ht="15" thickBot="1" x14ac:dyDescent="0.35"/>
    <row r="18" spans="1:7" x14ac:dyDescent="0.3">
      <c r="A18" s="15"/>
      <c r="B18" s="16"/>
      <c r="C18" s="16"/>
      <c r="D18" s="16"/>
      <c r="E18" s="16"/>
      <c r="F18" s="16"/>
      <c r="G18" s="17" t="s">
        <v>103</v>
      </c>
    </row>
    <row r="19" spans="1:7" x14ac:dyDescent="0.3">
      <c r="A19" s="18" t="s">
        <v>104</v>
      </c>
      <c r="B19" s="19"/>
      <c r="C19" s="19"/>
      <c r="D19" s="19"/>
      <c r="E19" s="21">
        <v>385714.98834101955</v>
      </c>
      <c r="F19" s="22">
        <v>359073.32015920139</v>
      </c>
      <c r="G19" s="23">
        <v>26641.668181818153</v>
      </c>
    </row>
    <row r="20" spans="1:7" ht="15" thickBot="1" x14ac:dyDescent="0.35">
      <c r="A20" s="2" t="s">
        <v>105</v>
      </c>
      <c r="B20" s="20"/>
      <c r="C20" s="20"/>
      <c r="D20" s="20"/>
      <c r="E20" s="24">
        <v>10414304.685207527</v>
      </c>
      <c r="F20" s="20">
        <v>9694979.644298438</v>
      </c>
      <c r="G20" s="3">
        <v>719325.04090909008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2A82A-28D9-4F5D-A717-20AA47414E7E}">
  <dimension ref="A1:J18"/>
  <sheetViews>
    <sheetView workbookViewId="0">
      <selection activeCell="B10" sqref="B10"/>
    </sheetView>
  </sheetViews>
  <sheetFormatPr defaultRowHeight="14.4" x14ac:dyDescent="0.3"/>
  <cols>
    <col min="1" max="1" width="18" customWidth="1"/>
    <col min="2" max="2" width="17.44140625" customWidth="1"/>
    <col min="3" max="3" width="15.5546875" customWidth="1"/>
    <col min="4" max="4" width="15.21875" customWidth="1"/>
    <col min="7" max="7" width="15.5546875" customWidth="1"/>
    <col min="8" max="8" width="10" bestFit="1" customWidth="1"/>
    <col min="9" max="9" width="10.33203125" bestFit="1" customWidth="1"/>
    <col min="10" max="10" width="12.44140625" customWidth="1"/>
  </cols>
  <sheetData>
    <row r="1" spans="1:10" x14ac:dyDescent="0.3">
      <c r="A1" s="1" t="s">
        <v>68</v>
      </c>
    </row>
    <row r="2" spans="1:10" x14ac:dyDescent="0.3">
      <c r="A2" s="10" t="s">
        <v>69</v>
      </c>
    </row>
    <row r="4" spans="1:10" x14ac:dyDescent="0.3">
      <c r="A4" s="1" t="s">
        <v>70</v>
      </c>
      <c r="B4" s="13">
        <v>2019</v>
      </c>
      <c r="C4" s="13">
        <v>2030</v>
      </c>
      <c r="D4" s="13">
        <v>2040</v>
      </c>
      <c r="G4" s="1" t="s">
        <v>79</v>
      </c>
    </row>
    <row r="5" spans="1:10" x14ac:dyDescent="0.3">
      <c r="A5" t="s">
        <v>71</v>
      </c>
      <c r="B5">
        <v>7.7</v>
      </c>
      <c r="C5">
        <v>115.7</v>
      </c>
      <c r="D5">
        <v>57.2</v>
      </c>
    </row>
    <row r="6" spans="1:10" x14ac:dyDescent="0.3">
      <c r="A6" t="s">
        <v>72</v>
      </c>
      <c r="B6">
        <v>158.4</v>
      </c>
      <c r="C6">
        <v>85.2</v>
      </c>
      <c r="D6">
        <v>16.399999999999999</v>
      </c>
      <c r="H6">
        <v>2016</v>
      </c>
      <c r="I6">
        <v>2030</v>
      </c>
      <c r="J6">
        <v>2040</v>
      </c>
    </row>
    <row r="7" spans="1:10" x14ac:dyDescent="0.3">
      <c r="A7" t="s">
        <v>73</v>
      </c>
      <c r="B7">
        <v>428.4</v>
      </c>
      <c r="C7">
        <v>130.1</v>
      </c>
      <c r="D7">
        <v>50</v>
      </c>
      <c r="G7" t="s">
        <v>77</v>
      </c>
      <c r="H7" s="11">
        <v>17100</v>
      </c>
      <c r="I7" s="11">
        <f>(1+C14)*$H7</f>
        <v>9197.7272727272721</v>
      </c>
      <c r="J7" s="11">
        <f>(1+D14)*$H7</f>
        <v>1770.4545454545446</v>
      </c>
    </row>
    <row r="8" spans="1:10" x14ac:dyDescent="0.3">
      <c r="A8" t="s">
        <v>74</v>
      </c>
      <c r="B8">
        <v>257.39999999999998</v>
      </c>
      <c r="C8">
        <v>193</v>
      </c>
      <c r="D8">
        <v>117</v>
      </c>
      <c r="G8" t="s">
        <v>78</v>
      </c>
      <c r="H8" s="11">
        <f>SUM('Liikenne+biokaasu'!C4:C6)</f>
        <v>2006.3659999999991</v>
      </c>
      <c r="I8" s="11">
        <f>(1+C16)*$H$8</f>
        <v>1504.3847630147625</v>
      </c>
      <c r="J8" s="11">
        <f>(1+D16)*$H$8</f>
        <v>911.98454545454513</v>
      </c>
    </row>
    <row r="10" spans="1:10" x14ac:dyDescent="0.3">
      <c r="A10" t="s">
        <v>75</v>
      </c>
      <c r="B10">
        <f>SUM(B5:B8)</f>
        <v>851.9</v>
      </c>
      <c r="C10">
        <f t="shared" ref="C10:D10" si="0">SUM(C5:C8)</f>
        <v>524</v>
      </c>
      <c r="D10">
        <f t="shared" si="0"/>
        <v>240.6</v>
      </c>
      <c r="G10" s="1" t="s">
        <v>80</v>
      </c>
      <c r="H10" s="12">
        <f>H8+H7</f>
        <v>19106.365999999998</v>
      </c>
      <c r="I10" s="12">
        <f t="shared" ref="I10:J10" si="1">I8+I7</f>
        <v>10702.112035742035</v>
      </c>
      <c r="J10" s="12">
        <f t="shared" si="1"/>
        <v>2682.4390909090898</v>
      </c>
    </row>
    <row r="11" spans="1:10" x14ac:dyDescent="0.3">
      <c r="G11" t="s">
        <v>81</v>
      </c>
      <c r="I11" s="11">
        <f>$H$10-I10</f>
        <v>8404.2539642579632</v>
      </c>
      <c r="J11" s="11">
        <f>$H$10-J10</f>
        <v>16423.926909090907</v>
      </c>
    </row>
    <row r="12" spans="1:10" x14ac:dyDescent="0.3">
      <c r="A12" t="s">
        <v>76</v>
      </c>
    </row>
    <row r="13" spans="1:10" x14ac:dyDescent="0.3">
      <c r="A13" t="str">
        <f>A5</f>
        <v>Rakentaminen</v>
      </c>
    </row>
    <row r="14" spans="1:10" x14ac:dyDescent="0.3">
      <c r="A14" t="str">
        <f t="shared" ref="A14:A16" si="2">A6</f>
        <v>Sähkönkulutus</v>
      </c>
      <c r="C14" s="9">
        <f>-(1-C6/$B6)</f>
        <v>-0.46212121212121215</v>
      </c>
      <c r="D14" s="9">
        <f>-(1-D6/$B6)</f>
        <v>-0.89646464646464652</v>
      </c>
    </row>
    <row r="15" spans="1:10" x14ac:dyDescent="0.3">
      <c r="A15" t="str">
        <f t="shared" si="2"/>
        <v>Lämmistys ja jäähdytys</v>
      </c>
      <c r="C15" s="9">
        <f t="shared" ref="C15:D18" si="3">-(1-C7/$B7)</f>
        <v>-0.69631185807656393</v>
      </c>
      <c r="D15" s="9">
        <f t="shared" si="3"/>
        <v>-0.88328664799253032</v>
      </c>
    </row>
    <row r="16" spans="1:10" x14ac:dyDescent="0.3">
      <c r="A16" t="str">
        <f t="shared" si="2"/>
        <v>Liikenne</v>
      </c>
      <c r="C16" s="9">
        <f t="shared" si="3"/>
        <v>-0.25019425019425012</v>
      </c>
      <c r="D16" s="9">
        <f t="shared" si="3"/>
        <v>-0.54545454545454541</v>
      </c>
    </row>
    <row r="17" spans="1:4" x14ac:dyDescent="0.3">
      <c r="C17" s="9"/>
      <c r="D17" s="9"/>
    </row>
    <row r="18" spans="1:4" x14ac:dyDescent="0.3">
      <c r="A18" t="s">
        <v>75</v>
      </c>
      <c r="C18" s="9">
        <f t="shared" si="3"/>
        <v>-0.38490433149430681</v>
      </c>
      <c r="D18" s="9">
        <f t="shared" si="3"/>
        <v>-0.71757248503345461</v>
      </c>
    </row>
  </sheetData>
  <hyperlinks>
    <hyperlink ref="A2" r:id="rId1" xr:uid="{A59F0315-7CE2-4A32-B7DE-E438A8C8D643}"/>
  </hyperlinks>
  <pageMargins left="0.7" right="0.7" top="0.75" bottom="0.75" header="0.3" footer="0.3"/>
  <pageSetup paperSize="9" orientation="portrait" horizontalDpi="300" verticalDpi="0" copies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E188C-E4C2-4E59-8A23-7D0C8C9A48DB}">
  <dimension ref="A1:D25"/>
  <sheetViews>
    <sheetView workbookViewId="0">
      <selection activeCell="A25" sqref="A25"/>
    </sheetView>
  </sheetViews>
  <sheetFormatPr defaultRowHeight="14.4" x14ac:dyDescent="0.3"/>
  <cols>
    <col min="1" max="1" width="43.77734375" customWidth="1"/>
    <col min="3" max="4" width="10" bestFit="1" customWidth="1"/>
  </cols>
  <sheetData>
    <row r="1" spans="1:4" x14ac:dyDescent="0.3">
      <c r="A1" s="1" t="s">
        <v>141</v>
      </c>
    </row>
    <row r="2" spans="1:4" x14ac:dyDescent="0.3">
      <c r="B2" t="s">
        <v>143</v>
      </c>
    </row>
    <row r="3" spans="1:4" x14ac:dyDescent="0.3">
      <c r="A3" t="s">
        <v>142</v>
      </c>
      <c r="B3">
        <v>1</v>
      </c>
    </row>
    <row r="4" spans="1:4" x14ac:dyDescent="0.3">
      <c r="A4" t="s">
        <v>144</v>
      </c>
      <c r="B4">
        <v>0.5</v>
      </c>
    </row>
    <row r="5" spans="1:4" x14ac:dyDescent="0.3">
      <c r="A5" t="s">
        <v>25</v>
      </c>
      <c r="B5">
        <v>0.6</v>
      </c>
    </row>
    <row r="6" spans="1:4" x14ac:dyDescent="0.3">
      <c r="A6" t="s">
        <v>145</v>
      </c>
      <c r="B6">
        <v>0.5</v>
      </c>
    </row>
    <row r="8" spans="1:4" x14ac:dyDescent="0.3">
      <c r="A8" s="1" t="s">
        <v>158</v>
      </c>
    </row>
    <row r="11" spans="1:4" x14ac:dyDescent="0.3">
      <c r="A11" t="s">
        <v>146</v>
      </c>
    </row>
    <row r="12" spans="1:4" x14ac:dyDescent="0.3">
      <c r="A12" t="s">
        <v>147</v>
      </c>
    </row>
    <row r="16" spans="1:4" x14ac:dyDescent="0.3">
      <c r="A16" s="1" t="s">
        <v>148</v>
      </c>
      <c r="C16" t="s">
        <v>150</v>
      </c>
      <c r="D16" t="s">
        <v>151</v>
      </c>
    </row>
    <row r="17" spans="1:4" x14ac:dyDescent="0.3">
      <c r="A17" t="s">
        <v>149</v>
      </c>
      <c r="C17">
        <v>105</v>
      </c>
      <c r="D17">
        <v>130</v>
      </c>
    </row>
    <row r="18" spans="1:4" x14ac:dyDescent="0.3">
      <c r="A18" t="s">
        <v>152</v>
      </c>
      <c r="C18">
        <v>135</v>
      </c>
      <c r="D18">
        <v>170</v>
      </c>
    </row>
    <row r="19" spans="1:4" x14ac:dyDescent="0.3">
      <c r="A19" t="s">
        <v>153</v>
      </c>
      <c r="C19" s="25">
        <f>C17*C18</f>
        <v>14175</v>
      </c>
      <c r="D19" s="25">
        <f>D17*D18</f>
        <v>22100</v>
      </c>
    </row>
    <row r="21" spans="1:4" x14ac:dyDescent="0.3">
      <c r="A21" s="1" t="s">
        <v>154</v>
      </c>
    </row>
    <row r="23" spans="1:4" x14ac:dyDescent="0.3">
      <c r="A23" t="s">
        <v>155</v>
      </c>
    </row>
    <row r="24" spans="1:4" x14ac:dyDescent="0.3">
      <c r="A24" t="s">
        <v>156</v>
      </c>
    </row>
    <row r="25" spans="1:4" x14ac:dyDescent="0.3">
      <c r="A25" t="s">
        <v>157</v>
      </c>
    </row>
  </sheetData>
  <pageMargins left="0.7" right="0.7" top="0.75" bottom="0.75" header="0.3" footer="0.3"/>
  <pageSetup paperSize="9" orientation="portrait" horizontalDpi="300" verticalDpi="0" copies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520D9BA1A42F834C9D83A857A637AC50" ma:contentTypeVersion="11" ma:contentTypeDescription="Luo uusi asiakirja." ma:contentTypeScope="" ma:versionID="db10d387db38770b48323979046658fc">
  <xsd:schema xmlns:xsd="http://www.w3.org/2001/XMLSchema" xmlns:xs="http://www.w3.org/2001/XMLSchema" xmlns:p="http://schemas.microsoft.com/office/2006/metadata/properties" xmlns:ns2="118f5f3c-8858-4dd8-80b6-d475a4a5fc0b" xmlns:ns3="1bcd82db-6158-4e9d-8c97-37eb50d9e165" targetNamespace="http://schemas.microsoft.com/office/2006/metadata/properties" ma:root="true" ma:fieldsID="853bb27a6665ef369621d618f030590e" ns2:_="" ns3:_="">
    <xsd:import namespace="118f5f3c-8858-4dd8-80b6-d475a4a5fc0b"/>
    <xsd:import namespace="1bcd82db-6158-4e9d-8c97-37eb50d9e1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8f5f3c-8858-4dd8-80b6-d475a4a5f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cd82db-6158-4e9d-8c97-37eb50d9e16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1A8D93-BE06-4F71-8CB9-11531F21AAE0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1bcd82db-6158-4e9d-8c97-37eb50d9e165"/>
    <ds:schemaRef ds:uri="118f5f3c-8858-4dd8-80b6-d475a4a5fc0b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DE18439-3D76-4FE1-892E-59B1DA70F8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2FCCA3-D5C4-4E19-A76D-EE530AECEA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8f5f3c-8858-4dd8-80b6-d475a4a5fc0b"/>
    <ds:schemaRef ds:uri="1bcd82db-6158-4e9d-8c97-37eb50d9e1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6</vt:i4>
      </vt:variant>
    </vt:vector>
  </HeadingPairs>
  <TitlesOfParts>
    <vt:vector size="6" baseType="lpstr">
      <vt:lpstr>Etusivu</vt:lpstr>
      <vt:lpstr>Liikenne+biokaasu</vt:lpstr>
      <vt:lpstr>Maatalous, metsät, suot jne</vt:lpstr>
      <vt:lpstr>YVA &amp; PIMA</vt:lpstr>
      <vt:lpstr>Yhdyskuntarakenne</vt:lpstr>
      <vt:lpstr>Kiertotalous + tehokkuusasiat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Heikkonen Petri-Tapio</dc:creator>
  <cp:lastModifiedBy>Kerkkä Valeria (ELY)</cp:lastModifiedBy>
  <dcterms:created xsi:type="dcterms:W3CDTF">2021-03-12T08:28:24Z</dcterms:created>
  <dcterms:modified xsi:type="dcterms:W3CDTF">2021-04-28T12:07:05Z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0x010100520D9BA1A42F834C9D83A857A637AC50</vt:lpwstr>
  </property>
</Properties>
</file>